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<sst xmlns="http://schemas.openxmlformats.org/spreadsheetml/2006/main" count="258" uniqueCount="64">
  <si>
    <t>BZT</t>
  </si>
  <si>
    <t>fc</t>
  </si>
  <si>
    <t>fs</t>
  </si>
  <si>
    <t>fl</t>
  </si>
  <si>
    <t>fu</t>
  </si>
  <si>
    <t>Q</t>
  </si>
  <si>
    <t>BW</t>
  </si>
  <si>
    <t>w'pl</t>
  </si>
  <si>
    <t>w'pu</t>
  </si>
  <si>
    <t>W</t>
  </si>
  <si>
    <t>k</t>
  </si>
  <si>
    <t>T</t>
  </si>
  <si>
    <t>b0</t>
  </si>
  <si>
    <t>b1</t>
  </si>
  <si>
    <t>b2</t>
  </si>
  <si>
    <t>a0</t>
  </si>
  <si>
    <t>a1</t>
  </si>
  <si>
    <t>a2</t>
  </si>
  <si>
    <t>Normalized Z-xfer</t>
  </si>
  <si>
    <t>Input Requirements for Filter</t>
  </si>
  <si>
    <t>Intermidiate steps for BZT</t>
  </si>
  <si>
    <t>Output from normalized BZT</t>
  </si>
  <si>
    <t>BZT IIR Filter Biquad Coefficient Generator</t>
  </si>
  <si>
    <t>LowPass--&gt;BandPass mapping</t>
  </si>
  <si>
    <t>H(s) = 1/s+1</t>
  </si>
  <si>
    <t>wpl' = Tan(2*pi*fl/(2*fs))</t>
  </si>
  <si>
    <t>wpu' = Tan(2*pi*fu/(2*fs))</t>
  </si>
  <si>
    <t>W = wpu'-wpl'</t>
  </si>
  <si>
    <t>lp -&gt; bs</t>
  </si>
  <si>
    <t>lp -&gt; bp</t>
  </si>
  <si>
    <t>lp -&gt; lp</t>
  </si>
  <si>
    <t>lp -&gt; hp</t>
  </si>
  <si>
    <t>wo^2</t>
  </si>
  <si>
    <t>wo^2 = wpu'*wpl'</t>
  </si>
  <si>
    <t>s= (s^2+wo^2)/(W*s)</t>
  </si>
  <si>
    <t>s= W*s/(s^2+wo^2)</t>
  </si>
  <si>
    <t>s=s/wp'</t>
  </si>
  <si>
    <t>s=wp'/s</t>
  </si>
  <si>
    <t>BZT Equations:</t>
  </si>
  <si>
    <t>LowPass--&gt;BandStop mapping</t>
  </si>
  <si>
    <t>LowPass--&gt;LowPass mapping</t>
  </si>
  <si>
    <t>For Band Pass/Stop:</t>
  </si>
  <si>
    <t>For Low/High Pass:</t>
  </si>
  <si>
    <t>wp' = Tan(2*pi*fo/(2*fs))</t>
  </si>
  <si>
    <t>fo</t>
  </si>
  <si>
    <t>s=(Z-1)/(Z+1)</t>
  </si>
  <si>
    <t>wp'</t>
  </si>
  <si>
    <t>LowPass--&gt;HighPass mapping</t>
  </si>
  <si>
    <t>Low Pass 1st Order</t>
  </si>
  <si>
    <t>Low Pass 2nd Order</t>
  </si>
  <si>
    <t>High Pass 1st Order</t>
  </si>
  <si>
    <t>High Pass 2nd Order</t>
  </si>
  <si>
    <t>N</t>
  </si>
  <si>
    <t>Low Pass 2nd Order with Q parameter</t>
  </si>
  <si>
    <t>High Pass 2nd Order with Q parameter</t>
  </si>
  <si>
    <t>Butterworth Prototype H(s) = 1/(s^2+sqrt(2)*s+1)</t>
  </si>
  <si>
    <t>LowPass--&gt;HighPass mapping s=w'p/s</t>
  </si>
  <si>
    <t>LowPass--&gt;LowPass mapping s = s/w'p</t>
  </si>
  <si>
    <t>Bessel Prototype H(s) = 3/(s^2+3*s+3)</t>
  </si>
  <si>
    <t>w'p^2</t>
  </si>
  <si>
    <t>G (Filter Gain)</t>
  </si>
  <si>
    <t>LowPass--&gt;HighPass mapping s = w'p/s</t>
  </si>
  <si>
    <t>Band Pass 2nd Order</t>
  </si>
  <si>
    <t>Band Stop 2nd Order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</si>
</sst>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>
      <alignment/>
      <protection/>
    </xf>
    <xf numFmtId="0" fontId="0" fillId="2" borderId="10" xfId="0" applyNumberFormat="1" applyFont="1" applyFill="1" applyBorder="1" applyAlignment="1" applyProtection="1">
      <alignment/>
      <protection/>
    </xf>
    <xf numFmtId="0" fontId="0" fillId="2" borderId="11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3" borderId="9" xfId="0" applyNumberFormat="1" applyFon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/>
      <protection/>
    </xf>
    <xf numFmtId="0" fontId="0" fillId="3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4" borderId="9" xfId="0" applyNumberFormat="1" applyFont="1" applyFill="1" applyBorder="1" applyAlignment="1" applyProtection="1">
      <alignment/>
      <protection/>
    </xf>
    <xf numFmtId="0" fontId="0" fillId="4" borderId="10" xfId="0" applyNumberFormat="1" applyFont="1" applyFill="1" applyBorder="1" applyAlignment="1" applyProtection="1">
      <alignment/>
      <protection/>
    </xf>
    <xf numFmtId="0" fontId="0" fillId="4" borderId="11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2" borderId="21" xfId="0" applyNumberFormat="1" applyFont="1" applyFill="1" applyBorder="1" applyAlignment="1" applyProtection="1">
      <alignment/>
      <protection/>
    </xf>
    <xf numFmtId="0" fontId="0" fillId="3" borderId="22" xfId="0" applyNumberFormat="1" applyFont="1" applyFill="1" applyBorder="1" applyAlignment="1" applyProtection="1">
      <alignment/>
      <protection/>
    </xf>
    <xf numFmtId="0" fontId="0" fillId="2" borderId="22" xfId="0" applyNumberFormat="1" applyFont="1" applyFill="1" applyBorder="1" applyAlignment="1" applyProtection="1">
      <alignment/>
      <protection/>
    </xf>
    <xf numFmtId="0" fontId="0" fillId="3" borderId="23" xfId="0" applyNumberFormat="1" applyFont="1" applyFill="1" applyBorder="1" applyAlignment="1" applyProtection="1">
      <alignment/>
      <protection/>
    </xf>
    <xf numFmtId="0" fontId="0" fillId="2" borderId="19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24" xfId="0" applyNumberFormat="1" applyFont="1" applyFill="1" applyBorder="1" applyAlignment="1" applyProtection="1">
      <alignment/>
      <protection/>
    </xf>
    <xf numFmtId="0" fontId="0" fillId="3" borderId="24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3" borderId="21" xfId="0" applyNumberFormat="1" applyFont="1" applyFill="1" applyBorder="1" applyAlignment="1" applyProtection="1">
      <alignment/>
      <protection/>
    </xf>
    <xf numFmtId="0" fontId="0" fillId="3" borderId="25" xfId="0" applyNumberFormat="1" applyFont="1" applyFill="1" applyBorder="1" applyAlignment="1" applyProtection="1">
      <alignment/>
      <protection/>
    </xf>
    <xf numFmtId="0" fontId="0" fillId="3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/>
      <protection/>
    </xf>
    <xf numFmtId="0" fontId="0" fillId="4" borderId="28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0" fillId="3" borderId="29" xfId="0" applyNumberFormat="1" applyFont="1" applyFill="1" applyBorder="1" applyAlignment="1" applyProtection="1">
      <alignment/>
      <protection/>
    </xf>
    <xf numFmtId="0" fontId="0" fillId="3" borderId="3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48"/>
  <sheetViews>
    <sheetView tabSelected="1" workbookViewId="0" topLeftCell="A16">
      <selection activeCell="H24" sqref="H24"/>
    </sheetView>
  </sheetViews>
  <sheetFormatPr defaultColWidth="9.140625" defaultRowHeight="12.75"/>
  <sheetData>
    <row r="2" spans="2:14" ht="12.75">
      <c r="B2" s="1"/>
      <c r="C2" s="1"/>
      <c r="D2" s="1"/>
      <c r="E2" s="1"/>
      <c r="F2" s="1"/>
      <c r="G2" s="1"/>
      <c r="H2" s="2" t="s">
        <v>38</v>
      </c>
      <c r="I2" s="1"/>
      <c r="J2" s="1"/>
      <c r="K2" s="1"/>
      <c r="L2" s="1"/>
      <c r="M2" s="1"/>
      <c r="N2" s="1"/>
    </row>
    <row r="3" spans="2:14" ht="12.75">
      <c r="B3" s="1"/>
      <c r="C3" s="1"/>
      <c r="D3" s="1"/>
      <c r="E3" s="1"/>
      <c r="F3" s="1"/>
      <c r="G3" s="1"/>
      <c r="H3" s="1"/>
      <c r="I3" s="3" t="s">
        <v>42</v>
      </c>
      <c r="J3" s="4"/>
      <c r="K3" s="1"/>
      <c r="L3" s="3" t="s">
        <v>41</v>
      </c>
      <c r="M3" s="5"/>
      <c r="N3" s="5"/>
    </row>
    <row r="4" spans="2:14" ht="18">
      <c r="B4" s="6" t="s">
        <v>22</v>
      </c>
      <c r="C4" s="1"/>
      <c r="D4" s="1"/>
      <c r="E4" s="1"/>
      <c r="F4" s="1"/>
      <c r="G4" s="1"/>
      <c r="H4" s="7" t="s">
        <v>24</v>
      </c>
      <c r="I4" s="8" t="s">
        <v>43</v>
      </c>
      <c r="J4" s="9"/>
      <c r="K4" s="1"/>
      <c r="L4" s="10" t="s">
        <v>25</v>
      </c>
      <c r="M4" s="11"/>
      <c r="N4" s="11" t="s">
        <v>26</v>
      </c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27</v>
      </c>
      <c r="M5" s="11"/>
      <c r="N5" s="1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33</v>
      </c>
      <c r="M6" s="12"/>
      <c r="N6" s="12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3" t="s">
        <v>19</v>
      </c>
      <c r="C9" s="14"/>
      <c r="D9" s="15"/>
      <c r="E9" s="1"/>
      <c r="F9" s="7" t="s">
        <v>45</v>
      </c>
      <c r="G9" s="1"/>
      <c r="H9" s="16" t="s">
        <v>29</v>
      </c>
      <c r="I9" s="17"/>
      <c r="J9" s="16" t="s">
        <v>28</v>
      </c>
      <c r="K9" s="17"/>
      <c r="L9" s="7" t="s">
        <v>30</v>
      </c>
      <c r="M9" s="7" t="s">
        <v>31</v>
      </c>
      <c r="N9" s="1"/>
    </row>
    <row r="10" spans="2:14" ht="12.75">
      <c r="B10" s="18" t="s">
        <v>20</v>
      </c>
      <c r="C10" s="19"/>
      <c r="D10" s="20"/>
      <c r="E10" s="1"/>
      <c r="F10" s="1"/>
      <c r="G10" s="1"/>
      <c r="H10" s="8" t="s">
        <v>34</v>
      </c>
      <c r="I10" s="9"/>
      <c r="J10" s="8" t="s">
        <v>35</v>
      </c>
      <c r="K10" s="9"/>
      <c r="L10" s="21" t="s">
        <v>36</v>
      </c>
      <c r="M10" s="21" t="s">
        <v>37</v>
      </c>
      <c r="N10" s="1"/>
    </row>
    <row r="11" spans="2:14" ht="12.75">
      <c r="B11" s="22" t="s">
        <v>21</v>
      </c>
      <c r="C11" s="23"/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3.5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3.5" thickBot="1">
      <c r="B13" s="25" t="s">
        <v>0</v>
      </c>
      <c r="C13" s="26" t="s">
        <v>62</v>
      </c>
      <c r="D13" s="27"/>
      <c r="E13" s="28"/>
      <c r="F13" s="29"/>
      <c r="G13" s="29"/>
      <c r="H13" s="29"/>
      <c r="I13" s="29"/>
      <c r="J13" s="29"/>
      <c r="K13" s="29"/>
      <c r="L13" s="29"/>
      <c r="M13" s="29"/>
      <c r="N13" s="30"/>
    </row>
    <row r="14" spans="2:14" ht="13.5" thickBot="1">
      <c r="B14" s="31"/>
      <c r="C14" s="11" t="s">
        <v>23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2"/>
    </row>
    <row r="15" spans="2:14" ht="13.5" thickBot="1">
      <c r="B15" s="33" t="s">
        <v>2</v>
      </c>
      <c r="C15" s="34" t="s">
        <v>44</v>
      </c>
      <c r="D15" s="35" t="s">
        <v>3</v>
      </c>
      <c r="E15" s="35" t="s">
        <v>4</v>
      </c>
      <c r="F15" s="34" t="s">
        <v>6</v>
      </c>
      <c r="G15" s="34" t="s">
        <v>5</v>
      </c>
      <c r="H15" s="34" t="s">
        <v>7</v>
      </c>
      <c r="I15" s="34" t="s">
        <v>8</v>
      </c>
      <c r="J15" s="34" t="s">
        <v>9</v>
      </c>
      <c r="K15" s="34" t="s">
        <v>32</v>
      </c>
      <c r="L15" s="34" t="s">
        <v>11</v>
      </c>
      <c r="M15" s="36" t="s">
        <v>10</v>
      </c>
      <c r="N15" s="32"/>
    </row>
    <row r="16" spans="2:14" ht="13.5" thickBot="1">
      <c r="B16" s="37"/>
      <c r="C16" s="38"/>
      <c r="D16" s="39"/>
      <c r="E16" s="39"/>
      <c r="F16" s="38"/>
      <c r="G16" s="38"/>
      <c r="H16" s="38"/>
      <c r="I16" s="38"/>
      <c r="J16" s="38"/>
      <c r="K16" s="38"/>
      <c r="L16" s="38"/>
      <c r="M16" s="38"/>
      <c r="N16" s="32"/>
    </row>
    <row r="17" spans="2:14" ht="13.5" thickBot="1">
      <c r="B17" s="40">
        <v>48000</v>
      </c>
      <c r="C17" s="41">
        <f>SQRT(D17*E17)</f>
        <v>3633.18042491699</v>
      </c>
      <c r="D17" s="40">
        <v>3300</v>
      </c>
      <c r="E17" s="40">
        <v>4000</v>
      </c>
      <c r="F17" s="38">
        <f>E17-D17</f>
        <v>700</v>
      </c>
      <c r="G17" s="38">
        <f>C17/F17</f>
        <v>5.190257749881415</v>
      </c>
      <c r="H17" s="38">
        <f>TAN(2*PI()*D17/(2*B17))</f>
        <v>0.2194068785195919</v>
      </c>
      <c r="I17" s="38">
        <f>TAN(2*PI()*E17/(2*B17))</f>
        <v>0.2679491924311227</v>
      </c>
      <c r="J17" s="38">
        <f>I17-H17</f>
        <v>0.0485423139115308</v>
      </c>
      <c r="K17" s="38">
        <f>I17*H17</f>
        <v>0.05878989591315809</v>
      </c>
      <c r="L17" s="38">
        <f>1/B17</f>
        <v>2.0833333333333333E-05</v>
      </c>
      <c r="M17" s="38">
        <f>2/L17</f>
        <v>96000</v>
      </c>
      <c r="N17" s="32"/>
    </row>
    <row r="18" spans="2:14" ht="12.75">
      <c r="B18" s="3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2"/>
    </row>
    <row r="19" spans="2:14" ht="12.75">
      <c r="B19" s="3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2"/>
    </row>
    <row r="20" spans="2:14" ht="13.5" thickBot="1">
      <c r="B20" s="31"/>
      <c r="C20" s="11"/>
      <c r="D20" s="11"/>
      <c r="E20" s="11"/>
      <c r="F20" s="11"/>
      <c r="G20" s="11"/>
      <c r="H20" s="11"/>
      <c r="I20" s="2" t="s">
        <v>18</v>
      </c>
      <c r="J20" s="11"/>
      <c r="K20" s="11"/>
      <c r="L20" s="42"/>
      <c r="M20" s="11"/>
      <c r="N20" s="32"/>
    </row>
    <row r="21" spans="2:14" ht="13.5" thickBot="1">
      <c r="B21" s="43" t="s">
        <v>12</v>
      </c>
      <c r="C21" s="34" t="s">
        <v>13</v>
      </c>
      <c r="D21" s="34" t="s">
        <v>14</v>
      </c>
      <c r="E21" s="34" t="s">
        <v>15</v>
      </c>
      <c r="F21" s="34" t="s">
        <v>16</v>
      </c>
      <c r="G21" s="36" t="s">
        <v>17</v>
      </c>
      <c r="H21" s="11"/>
      <c r="I21" s="43" t="s">
        <v>12</v>
      </c>
      <c r="J21" s="34" t="s">
        <v>13</v>
      </c>
      <c r="K21" s="34" t="s">
        <v>14</v>
      </c>
      <c r="L21" s="34" t="s">
        <v>15</v>
      </c>
      <c r="M21" s="34" t="s">
        <v>16</v>
      </c>
      <c r="N21" s="36" t="s">
        <v>17</v>
      </c>
    </row>
    <row r="22" spans="2:14" ht="13.5" thickBot="1">
      <c r="B22" s="44">
        <f>J17</f>
        <v>0.0485423139115308</v>
      </c>
      <c r="C22" s="45">
        <v>0</v>
      </c>
      <c r="D22" s="45">
        <f>-J17</f>
        <v>-0.0485423139115308</v>
      </c>
      <c r="E22" s="45">
        <f>1+K17+J17</f>
        <v>1.107332209824689</v>
      </c>
      <c r="F22" s="45">
        <f>2*K17-2</f>
        <v>-1.8824202081736838</v>
      </c>
      <c r="G22" s="45">
        <f>1+K17-J17</f>
        <v>1.0102475820016272</v>
      </c>
      <c r="H22" s="46"/>
      <c r="I22" s="47">
        <f>B22/E22</f>
        <v>0.04383717323567779</v>
      </c>
      <c r="J22" s="47">
        <f>C22/E22</f>
        <v>0</v>
      </c>
      <c r="K22" s="47">
        <f>D22/E22</f>
        <v>-0.04383717323567779</v>
      </c>
      <c r="L22" s="47">
        <f>E22/E22</f>
        <v>1</v>
      </c>
      <c r="M22" s="47">
        <f>F22/E22</f>
        <v>-1.6999597695001625</v>
      </c>
      <c r="N22" s="48">
        <f>G22/E22</f>
        <v>0.9123256535286444</v>
      </c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3.5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 thickBot="1">
      <c r="B26" s="25" t="s">
        <v>0</v>
      </c>
      <c r="C26" s="26" t="s">
        <v>63</v>
      </c>
      <c r="D26" s="27"/>
      <c r="E26" s="28"/>
      <c r="F26" s="29"/>
      <c r="G26" s="29"/>
      <c r="H26" s="29"/>
      <c r="I26" s="29"/>
      <c r="J26" s="29"/>
      <c r="K26" s="29"/>
      <c r="L26" s="29"/>
      <c r="M26" s="29"/>
      <c r="N26" s="30"/>
    </row>
    <row r="27" spans="2:14" ht="13.5" thickBot="1">
      <c r="B27" s="31"/>
      <c r="C27" s="11" t="s">
        <v>39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2"/>
    </row>
    <row r="28" spans="2:14" ht="13.5" thickBot="1">
      <c r="B28" s="33" t="s">
        <v>2</v>
      </c>
      <c r="C28" s="34" t="s">
        <v>44</v>
      </c>
      <c r="D28" s="35" t="s">
        <v>3</v>
      </c>
      <c r="E28" s="35" t="s">
        <v>4</v>
      </c>
      <c r="F28" s="34" t="s">
        <v>6</v>
      </c>
      <c r="G28" s="34" t="s">
        <v>5</v>
      </c>
      <c r="H28" s="34" t="s">
        <v>7</v>
      </c>
      <c r="I28" s="34" t="s">
        <v>8</v>
      </c>
      <c r="J28" s="34" t="s">
        <v>9</v>
      </c>
      <c r="K28" s="34" t="s">
        <v>32</v>
      </c>
      <c r="L28" s="34" t="s">
        <v>11</v>
      </c>
      <c r="M28" s="36" t="s">
        <v>10</v>
      </c>
      <c r="N28" s="32"/>
    </row>
    <row r="29" spans="2:14" ht="13.5" thickBot="1">
      <c r="B29" s="37"/>
      <c r="C29" s="38"/>
      <c r="D29" s="39"/>
      <c r="E29" s="39"/>
      <c r="F29" s="38"/>
      <c r="G29" s="38"/>
      <c r="H29" s="38"/>
      <c r="I29" s="38"/>
      <c r="J29" s="38"/>
      <c r="K29" s="38"/>
      <c r="L29" s="38"/>
      <c r="M29" s="38"/>
      <c r="N29" s="32"/>
    </row>
    <row r="30" spans="2:14" ht="13.5" thickBot="1">
      <c r="B30" s="40">
        <v>48000</v>
      </c>
      <c r="C30" s="41">
        <f>SQRT(D30*E30)</f>
        <v>59.99166608788257</v>
      </c>
      <c r="D30" s="40">
        <v>59</v>
      </c>
      <c r="E30" s="40">
        <v>61</v>
      </c>
      <c r="F30" s="38">
        <f>E30-D30</f>
        <v>2</v>
      </c>
      <c r="G30" s="38">
        <f>C30/F30</f>
        <v>29.995833043941285</v>
      </c>
      <c r="H30" s="38">
        <f>TAN(2*PI()*D30/(2*B30))</f>
        <v>0.003861560163939609</v>
      </c>
      <c r="I30" s="38">
        <f>TAN(2*PI()*E30/(2*B30))</f>
        <v>0.003992461876684664</v>
      </c>
      <c r="J30" s="38">
        <f>I30-H30</f>
        <v>0.00013090171274505536</v>
      </c>
      <c r="K30" s="38">
        <f>I30*H30</f>
        <v>1.5417131739053072E-05</v>
      </c>
      <c r="L30" s="38">
        <f>1/B30</f>
        <v>2.0833333333333333E-05</v>
      </c>
      <c r="M30" s="38">
        <f>2/L30</f>
        <v>96000</v>
      </c>
      <c r="N30" s="32"/>
    </row>
    <row r="31" spans="2:14" ht="12.75">
      <c r="B31" s="3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2"/>
    </row>
    <row r="32" spans="2:14" ht="12.75">
      <c r="B32" s="3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2"/>
    </row>
    <row r="33" spans="2:14" ht="13.5" thickBot="1">
      <c r="B33" s="31"/>
      <c r="C33" s="11"/>
      <c r="D33" s="11"/>
      <c r="E33" s="11"/>
      <c r="F33" s="11"/>
      <c r="G33" s="11"/>
      <c r="H33" s="11"/>
      <c r="I33" s="2" t="s">
        <v>18</v>
      </c>
      <c r="J33" s="11"/>
      <c r="K33" s="11"/>
      <c r="L33" s="42"/>
      <c r="M33" s="11"/>
      <c r="N33" s="32"/>
    </row>
    <row r="34" spans="2:14" ht="13.5" thickBot="1">
      <c r="B34" s="43" t="s">
        <v>12</v>
      </c>
      <c r="C34" s="34" t="s">
        <v>13</v>
      </c>
      <c r="D34" s="34" t="s">
        <v>14</v>
      </c>
      <c r="E34" s="34" t="s">
        <v>15</v>
      </c>
      <c r="F34" s="34" t="s">
        <v>16</v>
      </c>
      <c r="G34" s="36" t="s">
        <v>17</v>
      </c>
      <c r="H34" s="11"/>
      <c r="I34" s="43" t="s">
        <v>12</v>
      </c>
      <c r="J34" s="34" t="s">
        <v>13</v>
      </c>
      <c r="K34" s="34" t="s">
        <v>14</v>
      </c>
      <c r="L34" s="34" t="s">
        <v>15</v>
      </c>
      <c r="M34" s="34" t="s">
        <v>16</v>
      </c>
      <c r="N34" s="36" t="s">
        <v>17</v>
      </c>
    </row>
    <row r="35" spans="2:14" ht="13.5" thickBot="1">
      <c r="B35" s="44">
        <f>K30+1</f>
        <v>1.000015417131739</v>
      </c>
      <c r="C35" s="45">
        <f>2*K30-2</f>
        <v>-1.999969165736522</v>
      </c>
      <c r="D35" s="45">
        <f>K30+1</f>
        <v>1.000015417131739</v>
      </c>
      <c r="E35" s="45">
        <f>J30+1+K30</f>
        <v>1.0001463188444841</v>
      </c>
      <c r="F35" s="45">
        <f>2*K30-2</f>
        <v>-1.999969165736522</v>
      </c>
      <c r="G35" s="45">
        <f>K30-J30+1</f>
        <v>0.999884515418994</v>
      </c>
      <c r="H35" s="46"/>
      <c r="I35" s="47">
        <f>B35/E35</f>
        <v>0.9998691174378401</v>
      </c>
      <c r="J35" s="47">
        <f>C35/E35</f>
        <v>-1.9996765753706718</v>
      </c>
      <c r="K35" s="47">
        <f>D35/E35</f>
        <v>0.9998691174378401</v>
      </c>
      <c r="L35" s="47">
        <f>E35/E35</f>
        <v>1</v>
      </c>
      <c r="M35" s="47">
        <f>F35/E35</f>
        <v>-1.9996765753706718</v>
      </c>
      <c r="N35" s="48">
        <f>G35/E35</f>
        <v>0.9997382348756805</v>
      </c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3.5" thickBot="1">
      <c r="B38" s="25" t="s">
        <v>0</v>
      </c>
      <c r="C38" s="26" t="s">
        <v>48</v>
      </c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30"/>
    </row>
    <row r="39" spans="2:14" ht="13.5" thickBot="1">
      <c r="B39" s="31"/>
      <c r="C39" s="11" t="s">
        <v>40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2"/>
    </row>
    <row r="40" spans="2:14" ht="13.5" thickBot="1">
      <c r="B40" s="33" t="s">
        <v>2</v>
      </c>
      <c r="C40" s="34"/>
      <c r="D40" s="35" t="s">
        <v>1</v>
      </c>
      <c r="E40" s="34" t="s">
        <v>46</v>
      </c>
      <c r="F40" s="34"/>
      <c r="G40" s="34"/>
      <c r="H40" s="34"/>
      <c r="I40" s="34"/>
      <c r="J40" s="34"/>
      <c r="K40" s="34"/>
      <c r="L40" s="34" t="s">
        <v>11</v>
      </c>
      <c r="M40" s="36" t="s">
        <v>10</v>
      </c>
      <c r="N40" s="32"/>
    </row>
    <row r="41" spans="2:14" ht="13.5" thickBot="1"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2"/>
    </row>
    <row r="42" spans="2:14" ht="13.5" thickBot="1">
      <c r="B42" s="40">
        <v>48000</v>
      </c>
      <c r="C42" s="41"/>
      <c r="D42" s="40">
        <v>12000</v>
      </c>
      <c r="E42" s="41">
        <f>TAN(2*PI()*D42/(2*B42))</f>
        <v>0.9999999999999999</v>
      </c>
      <c r="F42" s="38"/>
      <c r="G42" s="38"/>
      <c r="H42" s="38"/>
      <c r="I42" s="38"/>
      <c r="J42" s="38"/>
      <c r="K42" s="38"/>
      <c r="L42" s="38">
        <f>1/B42</f>
        <v>2.0833333333333333E-05</v>
      </c>
      <c r="M42" s="38">
        <f>2/L42</f>
        <v>96000</v>
      </c>
      <c r="N42" s="32"/>
    </row>
    <row r="43" spans="2:14" ht="12.75"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2"/>
    </row>
    <row r="44" spans="2:14" ht="12.75">
      <c r="B44" s="3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2"/>
    </row>
    <row r="45" spans="2:14" ht="13.5" thickBot="1">
      <c r="B45" s="31"/>
      <c r="C45" s="11"/>
      <c r="D45" s="11"/>
      <c r="E45" s="11"/>
      <c r="F45" s="11"/>
      <c r="G45" s="11"/>
      <c r="H45" s="11"/>
      <c r="I45" s="2" t="s">
        <v>18</v>
      </c>
      <c r="J45" s="11"/>
      <c r="K45" s="11"/>
      <c r="L45" s="42"/>
      <c r="M45" s="11"/>
      <c r="N45" s="32"/>
    </row>
    <row r="46" spans="2:14" ht="13.5" thickBot="1">
      <c r="B46" s="43" t="s">
        <v>12</v>
      </c>
      <c r="C46" s="34" t="s">
        <v>13</v>
      </c>
      <c r="D46" s="34" t="s">
        <v>14</v>
      </c>
      <c r="E46" s="34" t="s">
        <v>15</v>
      </c>
      <c r="F46" s="34" t="s">
        <v>16</v>
      </c>
      <c r="G46" s="36" t="s">
        <v>17</v>
      </c>
      <c r="H46" s="11"/>
      <c r="I46" s="43" t="s">
        <v>12</v>
      </c>
      <c r="J46" s="34" t="s">
        <v>13</v>
      </c>
      <c r="K46" s="34" t="s">
        <v>14</v>
      </c>
      <c r="L46" s="34" t="s">
        <v>15</v>
      </c>
      <c r="M46" s="34" t="s">
        <v>16</v>
      </c>
      <c r="N46" s="36" t="s">
        <v>17</v>
      </c>
    </row>
    <row r="47" spans="2:14" ht="13.5" thickBot="1">
      <c r="B47" s="44">
        <f>E42</f>
        <v>0.9999999999999999</v>
      </c>
      <c r="C47" s="45">
        <f>E42</f>
        <v>0.9999999999999999</v>
      </c>
      <c r="D47" s="45">
        <f>0</f>
        <v>0</v>
      </c>
      <c r="E47" s="45">
        <f>E42+1</f>
        <v>2</v>
      </c>
      <c r="F47" s="45">
        <f>E42-1</f>
        <v>0</v>
      </c>
      <c r="G47" s="45">
        <f>0</f>
        <v>0</v>
      </c>
      <c r="H47" s="46"/>
      <c r="I47" s="47">
        <f>B47/E47</f>
        <v>0.49999999999999994</v>
      </c>
      <c r="J47" s="47">
        <f>C47/E47</f>
        <v>0.49999999999999994</v>
      </c>
      <c r="K47" s="47">
        <f>D47/E47</f>
        <v>0</v>
      </c>
      <c r="L47" s="47">
        <f>E47/E47</f>
        <v>1</v>
      </c>
      <c r="M47" s="47">
        <f>F47/E47</f>
        <v>0</v>
      </c>
      <c r="N47" s="48">
        <f>G47/E47</f>
        <v>0</v>
      </c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Bo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3.5" thickBot="1">
      <c r="B50" s="25" t="s">
        <v>0</v>
      </c>
      <c r="C50" s="26" t="s">
        <v>49</v>
      </c>
      <c r="D50" s="27"/>
      <c r="E50" s="28"/>
      <c r="F50" s="29"/>
      <c r="G50" s="49" t="s">
        <v>55</v>
      </c>
      <c r="H50" s="50"/>
      <c r="I50" s="29"/>
      <c r="J50" s="29"/>
      <c r="K50" s="29"/>
      <c r="L50" s="29"/>
      <c r="M50" s="29"/>
      <c r="N50" s="30"/>
    </row>
    <row r="51" spans="2:14" ht="13.5" thickBot="1">
      <c r="B51" s="31"/>
      <c r="C51" s="11" t="s">
        <v>57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2"/>
    </row>
    <row r="52" spans="2:14" ht="13.5" thickBot="1">
      <c r="B52" s="33" t="s">
        <v>2</v>
      </c>
      <c r="C52" s="34"/>
      <c r="D52" s="35" t="s">
        <v>1</v>
      </c>
      <c r="E52" s="34" t="s">
        <v>46</v>
      </c>
      <c r="F52" s="34"/>
      <c r="G52" s="34"/>
      <c r="H52" s="34"/>
      <c r="I52" s="34"/>
      <c r="J52" s="34"/>
      <c r="K52" s="34"/>
      <c r="L52" s="34" t="s">
        <v>11</v>
      </c>
      <c r="M52" s="36" t="s">
        <v>10</v>
      </c>
      <c r="N52" s="32"/>
    </row>
    <row r="53" spans="2:14" ht="13.5" thickBot="1">
      <c r="B53" s="37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2"/>
    </row>
    <row r="54" spans="2:14" ht="13.5" thickBot="1">
      <c r="B54" s="40">
        <v>48000</v>
      </c>
      <c r="C54" s="41"/>
      <c r="D54" s="40">
        <v>1000</v>
      </c>
      <c r="E54" s="41">
        <f>TAN(2*PI()*D54/(2*B54))</f>
        <v>0.06554346281523822</v>
      </c>
      <c r="F54" s="38"/>
      <c r="G54" s="38"/>
      <c r="H54" s="38"/>
      <c r="I54" s="38"/>
      <c r="J54" s="38"/>
      <c r="K54" s="38"/>
      <c r="L54" s="38">
        <f>1/B54</f>
        <v>2.0833333333333333E-05</v>
      </c>
      <c r="M54" s="38">
        <f>2/L54</f>
        <v>96000</v>
      </c>
      <c r="N54" s="32"/>
    </row>
    <row r="55" spans="2:14" ht="12.75">
      <c r="B55" s="3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32"/>
    </row>
    <row r="56" spans="2:14" ht="12.75">
      <c r="B56" s="3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32"/>
    </row>
    <row r="57" spans="2:14" ht="13.5" thickBot="1">
      <c r="B57" s="31"/>
      <c r="C57" s="11"/>
      <c r="D57" s="11"/>
      <c r="E57" s="11"/>
      <c r="F57" s="11"/>
      <c r="G57" s="11"/>
      <c r="H57" s="11"/>
      <c r="I57" s="2" t="s">
        <v>18</v>
      </c>
      <c r="J57" s="11"/>
      <c r="K57" s="11"/>
      <c r="L57" s="42"/>
      <c r="M57" s="11"/>
      <c r="N57" s="32"/>
    </row>
    <row r="58" spans="2:14" ht="13.5" thickBot="1">
      <c r="B58" s="43" t="s">
        <v>12</v>
      </c>
      <c r="C58" s="34" t="s">
        <v>13</v>
      </c>
      <c r="D58" s="34" t="s">
        <v>14</v>
      </c>
      <c r="E58" s="34" t="s">
        <v>15</v>
      </c>
      <c r="F58" s="34" t="s">
        <v>16</v>
      </c>
      <c r="G58" s="36" t="s">
        <v>17</v>
      </c>
      <c r="H58" s="11"/>
      <c r="I58" s="43" t="s">
        <v>12</v>
      </c>
      <c r="J58" s="34" t="s">
        <v>13</v>
      </c>
      <c r="K58" s="34" t="s">
        <v>14</v>
      </c>
      <c r="L58" s="34" t="s">
        <v>15</v>
      </c>
      <c r="M58" s="34" t="s">
        <v>16</v>
      </c>
      <c r="N58" s="36" t="s">
        <v>17</v>
      </c>
    </row>
    <row r="59" spans="2:14" ht="13.5" thickBot="1">
      <c r="B59" s="44">
        <f>E54*E54</f>
        <v>0.004295945517812516</v>
      </c>
      <c r="C59" s="45">
        <f>2*E54*E54</f>
        <v>0.008591891035625032</v>
      </c>
      <c r="D59" s="45">
        <f>E54*E54</f>
        <v>0.004295945517812516</v>
      </c>
      <c r="E59" s="45">
        <f>1+SQRT(2)*E54+E54*E54</f>
        <v>1.096988399556019</v>
      </c>
      <c r="F59" s="45">
        <f>2*E54*E54-2</f>
        <v>-1.991408108964375</v>
      </c>
      <c r="G59" s="45">
        <f>1-SQRT(2)*E54+E54*E54</f>
        <v>0.911603491479606</v>
      </c>
      <c r="H59" s="46"/>
      <c r="I59" s="47">
        <f>B59/E59</f>
        <v>0.003916126660547369</v>
      </c>
      <c r="J59" s="47">
        <f>C59/E59</f>
        <v>0.007832253321094738</v>
      </c>
      <c r="K59" s="47">
        <f>D59/E59</f>
        <v>0.003916126660547369</v>
      </c>
      <c r="L59" s="47">
        <f>E59/E59</f>
        <v>1</v>
      </c>
      <c r="M59" s="47">
        <f>F59/E59</f>
        <v>-1.8153410827045682</v>
      </c>
      <c r="N59" s="48">
        <f>G59/E59</f>
        <v>0.8310055893467576</v>
      </c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Bo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 thickBot="1">
      <c r="B62" s="25" t="s">
        <v>0</v>
      </c>
      <c r="C62" s="26" t="s">
        <v>50</v>
      </c>
      <c r="D62" s="27"/>
      <c r="E62" s="28"/>
      <c r="F62" s="29"/>
      <c r="G62" s="29"/>
      <c r="H62" s="29"/>
      <c r="I62" s="29"/>
      <c r="J62" s="29"/>
      <c r="K62" s="29"/>
      <c r="L62" s="29"/>
      <c r="M62" s="29"/>
      <c r="N62" s="30"/>
    </row>
    <row r="63" spans="2:14" ht="13.5" thickBot="1">
      <c r="B63" s="31"/>
      <c r="C63" s="11" t="s">
        <v>47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32"/>
    </row>
    <row r="64" spans="2:14" ht="13.5" thickBot="1">
      <c r="B64" s="33" t="s">
        <v>2</v>
      </c>
      <c r="C64" s="34"/>
      <c r="D64" s="35" t="s">
        <v>1</v>
      </c>
      <c r="E64" s="34" t="s">
        <v>46</v>
      </c>
      <c r="F64" s="34"/>
      <c r="G64" s="34"/>
      <c r="H64" s="34"/>
      <c r="I64" s="34"/>
      <c r="J64" s="34"/>
      <c r="K64" s="34"/>
      <c r="L64" s="34" t="s">
        <v>11</v>
      </c>
      <c r="M64" s="36" t="s">
        <v>10</v>
      </c>
      <c r="N64" s="32"/>
    </row>
    <row r="65" spans="2:14" ht="13.5" thickBot="1">
      <c r="B65" s="37"/>
      <c r="C65" s="38"/>
      <c r="D65" s="39"/>
      <c r="E65" s="38"/>
      <c r="F65" s="38"/>
      <c r="G65" s="38"/>
      <c r="H65" s="38"/>
      <c r="I65" s="38"/>
      <c r="J65" s="38"/>
      <c r="K65" s="38"/>
      <c r="L65" s="38"/>
      <c r="M65" s="38"/>
      <c r="N65" s="32"/>
    </row>
    <row r="66" spans="2:14" ht="13.5" thickBot="1">
      <c r="B66" s="40">
        <v>48000</v>
      </c>
      <c r="C66" s="41"/>
      <c r="D66" s="40">
        <v>2000</v>
      </c>
      <c r="E66" s="41">
        <f>TAN(2*PI()*D66/(2*B66))</f>
        <v>0.13165249758739583</v>
      </c>
      <c r="F66" s="38"/>
      <c r="G66" s="38"/>
      <c r="H66" s="38"/>
      <c r="I66" s="38"/>
      <c r="J66" s="38"/>
      <c r="K66" s="38"/>
      <c r="L66" s="38">
        <f>1/B66</f>
        <v>2.0833333333333333E-05</v>
      </c>
      <c r="M66" s="38">
        <f>2/L66</f>
        <v>96000</v>
      </c>
      <c r="N66" s="32"/>
    </row>
    <row r="67" spans="2:14" ht="12.75">
      <c r="B67" s="3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32"/>
    </row>
    <row r="68" spans="2:14" ht="12.75">
      <c r="B68" s="3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32"/>
    </row>
    <row r="69" spans="2:14" ht="13.5" thickBot="1">
      <c r="B69" s="31"/>
      <c r="C69" s="11"/>
      <c r="D69" s="11"/>
      <c r="E69" s="11"/>
      <c r="F69" s="11"/>
      <c r="G69" s="11"/>
      <c r="H69" s="11"/>
      <c r="I69" s="2" t="s">
        <v>18</v>
      </c>
      <c r="J69" s="11"/>
      <c r="K69" s="11"/>
      <c r="L69" s="42"/>
      <c r="M69" s="11"/>
      <c r="N69" s="32"/>
    </row>
    <row r="70" spans="2:14" ht="13.5" thickBot="1">
      <c r="B70" s="43" t="s">
        <v>12</v>
      </c>
      <c r="C70" s="34" t="s">
        <v>13</v>
      </c>
      <c r="D70" s="34" t="s">
        <v>14</v>
      </c>
      <c r="E70" s="34" t="s">
        <v>15</v>
      </c>
      <c r="F70" s="34" t="s">
        <v>16</v>
      </c>
      <c r="G70" s="36" t="s">
        <v>17</v>
      </c>
      <c r="H70" s="11"/>
      <c r="I70" s="43" t="s">
        <v>12</v>
      </c>
      <c r="J70" s="34" t="s">
        <v>13</v>
      </c>
      <c r="K70" s="34" t="s">
        <v>14</v>
      </c>
      <c r="L70" s="34" t="s">
        <v>15</v>
      </c>
      <c r="M70" s="34" t="s">
        <v>16</v>
      </c>
      <c r="N70" s="36" t="s">
        <v>17</v>
      </c>
    </row>
    <row r="71" spans="2:14" ht="13.5" thickBot="1">
      <c r="B71" s="44">
        <f>1</f>
        <v>1</v>
      </c>
      <c r="C71" s="45">
        <f>-1</f>
        <v>-1</v>
      </c>
      <c r="D71" s="45">
        <f>0</f>
        <v>0</v>
      </c>
      <c r="E71" s="45">
        <f>E66+1</f>
        <v>1.1316524975873958</v>
      </c>
      <c r="F71" s="45">
        <f>E66-1</f>
        <v>-0.8683475024126042</v>
      </c>
      <c r="G71" s="45">
        <f>0</f>
        <v>0</v>
      </c>
      <c r="H71" s="46"/>
      <c r="I71" s="47">
        <f>B71/E71</f>
        <v>0.8836634939894802</v>
      </c>
      <c r="J71" s="47">
        <f>C71/E71</f>
        <v>-0.8836634939894802</v>
      </c>
      <c r="K71" s="47">
        <f>D71/E71</f>
        <v>0</v>
      </c>
      <c r="L71" s="47">
        <f>E71/E71</f>
        <v>1</v>
      </c>
      <c r="M71" s="47">
        <f>F71/E71</f>
        <v>-0.7673269879789604</v>
      </c>
      <c r="N71" s="48">
        <f>G71/E71</f>
        <v>0</v>
      </c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 thickBo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3.5" thickBot="1">
      <c r="B74" s="25" t="s">
        <v>0</v>
      </c>
      <c r="C74" s="26" t="s">
        <v>51</v>
      </c>
      <c r="D74" s="27"/>
      <c r="E74" s="28"/>
      <c r="F74" s="29"/>
      <c r="G74" s="49" t="s">
        <v>55</v>
      </c>
      <c r="H74" s="50"/>
      <c r="I74" s="29"/>
      <c r="J74" s="29"/>
      <c r="K74" s="29"/>
      <c r="L74" s="29"/>
      <c r="M74" s="29"/>
      <c r="N74" s="30"/>
    </row>
    <row r="75" spans="2:14" ht="13.5" thickBot="1">
      <c r="B75" s="31"/>
      <c r="C75" s="11" t="s">
        <v>56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32"/>
    </row>
    <row r="76" spans="2:14" ht="13.5" thickBot="1">
      <c r="B76" s="33" t="s">
        <v>2</v>
      </c>
      <c r="C76" s="34"/>
      <c r="D76" s="35" t="s">
        <v>1</v>
      </c>
      <c r="E76" s="34" t="s">
        <v>46</v>
      </c>
      <c r="F76" s="34"/>
      <c r="G76" s="34"/>
      <c r="H76" s="34"/>
      <c r="I76" s="34"/>
      <c r="J76" s="34"/>
      <c r="K76" s="34"/>
      <c r="L76" s="34" t="s">
        <v>11</v>
      </c>
      <c r="M76" s="36" t="s">
        <v>10</v>
      </c>
      <c r="N76" s="32"/>
    </row>
    <row r="77" spans="2:14" ht="13.5" thickBot="1">
      <c r="B77" s="37"/>
      <c r="C77" s="38"/>
      <c r="D77" s="39"/>
      <c r="E77" s="38"/>
      <c r="F77" s="38"/>
      <c r="G77" s="38"/>
      <c r="H77" s="38"/>
      <c r="I77" s="38"/>
      <c r="J77" s="38"/>
      <c r="K77" s="38"/>
      <c r="L77" s="38"/>
      <c r="M77" s="38"/>
      <c r="N77" s="32"/>
    </row>
    <row r="78" spans="2:14" ht="13.5" thickBot="1">
      <c r="B78" s="40">
        <v>48000</v>
      </c>
      <c r="C78" s="41"/>
      <c r="D78" s="40">
        <v>2000</v>
      </c>
      <c r="E78" s="41">
        <f>TAN(2*PI()*D78/(2*B78))</f>
        <v>0.13165249758739583</v>
      </c>
      <c r="F78" s="38"/>
      <c r="G78" s="38"/>
      <c r="H78" s="38"/>
      <c r="I78" s="38"/>
      <c r="J78" s="38"/>
      <c r="K78" s="38"/>
      <c r="L78" s="38">
        <f>1/B78</f>
        <v>2.0833333333333333E-05</v>
      </c>
      <c r="M78" s="38">
        <f>2/L78</f>
        <v>96000</v>
      </c>
      <c r="N78" s="32"/>
    </row>
    <row r="79" spans="2:14" ht="12.75">
      <c r="B79" s="3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32"/>
    </row>
    <row r="80" spans="2:14" ht="12.75">
      <c r="B80" s="3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32"/>
    </row>
    <row r="81" spans="2:14" ht="13.5" thickBot="1">
      <c r="B81" s="31"/>
      <c r="C81" s="11"/>
      <c r="D81" s="11"/>
      <c r="E81" s="11"/>
      <c r="F81" s="11"/>
      <c r="G81" s="11"/>
      <c r="H81" s="11"/>
      <c r="I81" s="2" t="s">
        <v>18</v>
      </c>
      <c r="J81" s="11"/>
      <c r="K81" s="11"/>
      <c r="L81" s="42"/>
      <c r="M81" s="11"/>
      <c r="N81" s="32"/>
    </row>
    <row r="82" spans="2:14" ht="13.5" thickBot="1">
      <c r="B82" s="43" t="s">
        <v>12</v>
      </c>
      <c r="C82" s="34" t="s">
        <v>13</v>
      </c>
      <c r="D82" s="34" t="s">
        <v>14</v>
      </c>
      <c r="E82" s="34" t="s">
        <v>15</v>
      </c>
      <c r="F82" s="34" t="s">
        <v>16</v>
      </c>
      <c r="G82" s="36" t="s">
        <v>17</v>
      </c>
      <c r="H82" s="11"/>
      <c r="I82" s="43" t="s">
        <v>12</v>
      </c>
      <c r="J82" s="34" t="s">
        <v>13</v>
      </c>
      <c r="K82" s="34" t="s">
        <v>14</v>
      </c>
      <c r="L82" s="34" t="s">
        <v>15</v>
      </c>
      <c r="M82" s="34" t="s">
        <v>16</v>
      </c>
      <c r="N82" s="36" t="s">
        <v>17</v>
      </c>
    </row>
    <row r="83" spans="2:14" ht="13.5" thickBot="1">
      <c r="B83" s="44">
        <f>1</f>
        <v>1</v>
      </c>
      <c r="C83" s="45">
        <f>-2</f>
        <v>-2</v>
      </c>
      <c r="D83" s="45">
        <f>1</f>
        <v>1</v>
      </c>
      <c r="E83" s="45">
        <f>E78*E78+SQRT(2)*E78+1</f>
        <v>1.2035171277293857</v>
      </c>
      <c r="F83" s="45">
        <f>2*E78*E78-2</f>
        <v>-1.9653352397580015</v>
      </c>
      <c r="G83" s="45">
        <f>E78*E78-SQRT(2)*E78+1</f>
        <v>0.8311476325126129</v>
      </c>
      <c r="H83" s="46"/>
      <c r="I83" s="47">
        <f>B83/E83</f>
        <v>0.8308980212742373</v>
      </c>
      <c r="J83" s="47">
        <f>C83/E83</f>
        <v>-1.6617960425484746</v>
      </c>
      <c r="K83" s="47">
        <f>D83/E83</f>
        <v>0.8308980212742373</v>
      </c>
      <c r="L83" s="47">
        <f>E83/E83</f>
        <v>1</v>
      </c>
      <c r="M83" s="47">
        <f>F83/E83</f>
        <v>-1.632993161855452</v>
      </c>
      <c r="N83" s="48">
        <f>G83/E83</f>
        <v>0.690598923241497</v>
      </c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3.5" thickBo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3.5" thickBot="1">
      <c r="B89" s="25" t="s">
        <v>0</v>
      </c>
      <c r="C89" s="26" t="s">
        <v>53</v>
      </c>
      <c r="D89" s="27"/>
      <c r="E89" s="28"/>
      <c r="F89" s="29"/>
      <c r="G89" s="50"/>
      <c r="H89" s="50"/>
      <c r="I89" s="29"/>
      <c r="J89" s="29"/>
      <c r="K89" s="29"/>
      <c r="L89" s="29"/>
      <c r="M89" s="29"/>
      <c r="N89" s="30"/>
    </row>
    <row r="90" spans="2:14" ht="13.5" thickBot="1">
      <c r="B90" s="31"/>
      <c r="C90" s="11" t="s">
        <v>40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32"/>
    </row>
    <row r="91" spans="2:14" ht="13.5" thickBot="1">
      <c r="B91" s="33" t="s">
        <v>2</v>
      </c>
      <c r="C91" s="34"/>
      <c r="D91" s="35" t="s">
        <v>1</v>
      </c>
      <c r="E91" s="34" t="s">
        <v>46</v>
      </c>
      <c r="F91" s="34" t="s">
        <v>52</v>
      </c>
      <c r="G91" s="34"/>
      <c r="H91" s="34" t="s">
        <v>5</v>
      </c>
      <c r="I91" s="34"/>
      <c r="J91" s="34"/>
      <c r="K91" s="34"/>
      <c r="L91" s="34" t="s">
        <v>11</v>
      </c>
      <c r="M91" s="36" t="s">
        <v>10</v>
      </c>
      <c r="N91" s="32"/>
    </row>
    <row r="92" spans="2:14" ht="13.5" thickBot="1">
      <c r="B92" s="37"/>
      <c r="C92" s="38"/>
      <c r="D92" s="39"/>
      <c r="E92" s="38"/>
      <c r="F92" s="38"/>
      <c r="G92" s="38"/>
      <c r="H92" s="38"/>
      <c r="I92" s="38"/>
      <c r="J92" s="38"/>
      <c r="K92" s="38"/>
      <c r="L92" s="38"/>
      <c r="M92" s="38"/>
      <c r="N92" s="32"/>
    </row>
    <row r="93" spans="2:14" ht="13.5" thickBot="1">
      <c r="B93" s="40">
        <v>48000</v>
      </c>
      <c r="C93" s="41"/>
      <c r="D93" s="40">
        <v>2000</v>
      </c>
      <c r="E93" s="41">
        <f>TAN(2*PI()*D93/(2*B93))</f>
        <v>0.13165249758739583</v>
      </c>
      <c r="F93" s="41">
        <f>1/(E93*E93+E93/H93+1)</f>
        <v>0.8308786077344001</v>
      </c>
      <c r="G93" s="38"/>
      <c r="H93" s="41">
        <v>0.707</v>
      </c>
      <c r="I93" s="38"/>
      <c r="J93" s="38"/>
      <c r="K93" s="38"/>
      <c r="L93" s="38">
        <f>1/B93</f>
        <v>2.0833333333333333E-05</v>
      </c>
      <c r="M93" s="38">
        <f>2/L93</f>
        <v>96000</v>
      </c>
      <c r="N93" s="32"/>
    </row>
    <row r="94" spans="2:14" ht="12.75">
      <c r="B94" s="3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32"/>
    </row>
    <row r="95" spans="2:14" ht="12.75">
      <c r="B95" s="3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32"/>
    </row>
    <row r="96" spans="2:14" ht="13.5" thickBot="1">
      <c r="B96" s="31"/>
      <c r="C96" s="11"/>
      <c r="D96" s="11"/>
      <c r="E96" s="11"/>
      <c r="F96" s="11"/>
      <c r="G96" s="11"/>
      <c r="H96" s="11"/>
      <c r="I96" s="2" t="s">
        <v>18</v>
      </c>
      <c r="J96" s="11"/>
      <c r="K96" s="11"/>
      <c r="L96" s="42"/>
      <c r="M96" s="11"/>
      <c r="N96" s="32"/>
    </row>
    <row r="97" spans="2:14" ht="13.5" thickBot="1">
      <c r="B97" s="43" t="s">
        <v>12</v>
      </c>
      <c r="C97" s="34" t="s">
        <v>13</v>
      </c>
      <c r="D97" s="34" t="s">
        <v>14</v>
      </c>
      <c r="E97" s="34" t="s">
        <v>15</v>
      </c>
      <c r="F97" s="34" t="s">
        <v>16</v>
      </c>
      <c r="G97" s="36" t="s">
        <v>17</v>
      </c>
      <c r="H97" s="11"/>
      <c r="I97" s="43" t="s">
        <v>12</v>
      </c>
      <c r="J97" s="34" t="s">
        <v>13</v>
      </c>
      <c r="K97" s="34" t="s">
        <v>14</v>
      </c>
      <c r="L97" s="34" t="s">
        <v>15</v>
      </c>
      <c r="M97" s="34" t="s">
        <v>16</v>
      </c>
      <c r="N97" s="36" t="s">
        <v>17</v>
      </c>
    </row>
    <row r="98" spans="2:14" ht="13.5" thickBot="1">
      <c r="B98" s="44">
        <f>F93*E93*E93</f>
        <v>0.014401103863659262</v>
      </c>
      <c r="C98" s="45">
        <f>2*B98</f>
        <v>0.028802207727318525</v>
      </c>
      <c r="D98" s="45">
        <f>B98</f>
        <v>0.014401103863659262</v>
      </c>
      <c r="E98" s="45">
        <f>1</f>
        <v>1</v>
      </c>
      <c r="F98" s="45">
        <f>2*F93*(E93*E93-1)</f>
        <v>-1.6329550077414818</v>
      </c>
      <c r="G98" s="45">
        <f>F93*(E93*E93-E93/H93+1)</f>
        <v>0.690559423196119</v>
      </c>
      <c r="H98" s="46"/>
      <c r="I98" s="47">
        <f>B98/E98</f>
        <v>0.014401103863659262</v>
      </c>
      <c r="J98" s="47">
        <f>C98/E98</f>
        <v>0.028802207727318525</v>
      </c>
      <c r="K98" s="47">
        <f>D98/E98</f>
        <v>0.014401103863659262</v>
      </c>
      <c r="L98" s="47">
        <f>E98/E98</f>
        <v>1</v>
      </c>
      <c r="M98" s="47">
        <f>F98/E98</f>
        <v>-1.6329550077414818</v>
      </c>
      <c r="N98" s="48">
        <f>G98/E98</f>
        <v>0.690559423196119</v>
      </c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3.5" thickBo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3.5" thickBot="1">
      <c r="B101" s="25" t="s">
        <v>0</v>
      </c>
      <c r="C101" s="26" t="s">
        <v>54</v>
      </c>
      <c r="D101" s="27"/>
      <c r="E101" s="28"/>
      <c r="F101" s="29"/>
      <c r="G101" s="50"/>
      <c r="H101" s="50"/>
      <c r="I101" s="29"/>
      <c r="J101" s="29"/>
      <c r="K101" s="29"/>
      <c r="L101" s="29"/>
      <c r="M101" s="29"/>
      <c r="N101" s="30"/>
    </row>
    <row r="102" spans="2:14" ht="13.5" thickBot="1">
      <c r="B102" s="31"/>
      <c r="C102" s="11" t="s">
        <v>47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32"/>
    </row>
    <row r="103" spans="2:14" ht="13.5" thickBot="1">
      <c r="B103" s="33" t="s">
        <v>2</v>
      </c>
      <c r="C103" s="34"/>
      <c r="D103" s="35" t="s">
        <v>1</v>
      </c>
      <c r="E103" s="34" t="s">
        <v>46</v>
      </c>
      <c r="F103" s="34" t="s">
        <v>52</v>
      </c>
      <c r="G103" s="34"/>
      <c r="H103" s="34" t="s">
        <v>5</v>
      </c>
      <c r="I103" s="34"/>
      <c r="J103" s="34"/>
      <c r="K103" s="34"/>
      <c r="L103" s="34" t="s">
        <v>11</v>
      </c>
      <c r="M103" s="36" t="s">
        <v>10</v>
      </c>
      <c r="N103" s="32"/>
    </row>
    <row r="104" spans="2:14" ht="13.5" thickBot="1">
      <c r="B104" s="37"/>
      <c r="C104" s="38"/>
      <c r="D104" s="39"/>
      <c r="E104" s="38"/>
      <c r="F104" s="38"/>
      <c r="G104" s="38"/>
      <c r="H104" s="38"/>
      <c r="I104" s="38"/>
      <c r="J104" s="38"/>
      <c r="K104" s="38"/>
      <c r="L104" s="38"/>
      <c r="M104" s="38"/>
      <c r="N104" s="32"/>
    </row>
    <row r="105" spans="2:14" ht="13.5" thickBot="1">
      <c r="B105" s="40">
        <v>48000</v>
      </c>
      <c r="C105" s="41"/>
      <c r="D105" s="40">
        <v>2000</v>
      </c>
      <c r="E105" s="41">
        <f>TAN(2*PI()*D105/(2*B105))</f>
        <v>0.13165249758739583</v>
      </c>
      <c r="F105" s="41">
        <f>1/(E105*E105+E105/H105+1)</f>
        <v>0.8308786077344001</v>
      </c>
      <c r="G105" s="38"/>
      <c r="H105" s="41">
        <v>0.707</v>
      </c>
      <c r="I105" s="38"/>
      <c r="J105" s="38"/>
      <c r="K105" s="38"/>
      <c r="L105" s="38">
        <f>1/B105</f>
        <v>2.0833333333333333E-05</v>
      </c>
      <c r="M105" s="38">
        <f>2/L105</f>
        <v>96000</v>
      </c>
      <c r="N105" s="32"/>
    </row>
    <row r="106" spans="2:14" ht="12.75">
      <c r="B106" s="3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32"/>
    </row>
    <row r="107" spans="2:14" ht="12.75">
      <c r="B107" s="3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32"/>
    </row>
    <row r="108" spans="2:14" ht="13.5" thickBot="1">
      <c r="B108" s="31"/>
      <c r="C108" s="11"/>
      <c r="D108" s="11"/>
      <c r="E108" s="11"/>
      <c r="F108" s="11"/>
      <c r="G108" s="11"/>
      <c r="H108" s="11"/>
      <c r="I108" s="2" t="s">
        <v>18</v>
      </c>
      <c r="J108" s="11"/>
      <c r="K108" s="11"/>
      <c r="L108" s="42"/>
      <c r="M108" s="11"/>
      <c r="N108" s="32"/>
    </row>
    <row r="109" spans="2:14" ht="13.5" thickBot="1">
      <c r="B109" s="43" t="s">
        <v>12</v>
      </c>
      <c r="C109" s="34" t="s">
        <v>13</v>
      </c>
      <c r="D109" s="34" t="s">
        <v>14</v>
      </c>
      <c r="E109" s="34" t="s">
        <v>15</v>
      </c>
      <c r="F109" s="34" t="s">
        <v>16</v>
      </c>
      <c r="G109" s="36" t="s">
        <v>17</v>
      </c>
      <c r="H109" s="11"/>
      <c r="I109" s="43" t="s">
        <v>12</v>
      </c>
      <c r="J109" s="34" t="s">
        <v>13</v>
      </c>
      <c r="K109" s="34" t="s">
        <v>14</v>
      </c>
      <c r="L109" s="34" t="s">
        <v>15</v>
      </c>
      <c r="M109" s="34" t="s">
        <v>16</v>
      </c>
      <c r="N109" s="36" t="s">
        <v>17</v>
      </c>
    </row>
    <row r="110" spans="2:14" ht="13.5" thickBot="1">
      <c r="B110" s="44">
        <f>F105</f>
        <v>0.8308786077344001</v>
      </c>
      <c r="C110" s="45">
        <f>-2*F105</f>
        <v>-1.6617572154688003</v>
      </c>
      <c r="D110" s="45">
        <f>-1*B110</f>
        <v>-0.8308786077344001</v>
      </c>
      <c r="E110" s="45">
        <f>1</f>
        <v>1</v>
      </c>
      <c r="F110" s="45">
        <f>2*F105*(E105*E105-1)</f>
        <v>-1.6329550077414818</v>
      </c>
      <c r="G110" s="45">
        <f>F105*(E105*E105-E105/H105+1)</f>
        <v>0.690559423196119</v>
      </c>
      <c r="H110" s="46"/>
      <c r="I110" s="47">
        <f>B110/E110</f>
        <v>0.8308786077344001</v>
      </c>
      <c r="J110" s="47">
        <f>C110/E110</f>
        <v>-1.6617572154688003</v>
      </c>
      <c r="K110" s="47">
        <f>D110/E110</f>
        <v>-0.8308786077344001</v>
      </c>
      <c r="L110" s="47">
        <f>E110/E110</f>
        <v>1</v>
      </c>
      <c r="M110" s="47">
        <f>F110/E110</f>
        <v>-1.6329550077414818</v>
      </c>
      <c r="N110" s="48">
        <f>G110/E110</f>
        <v>0.690559423196119</v>
      </c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3.5" thickBo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3.5" thickBot="1">
      <c r="B126" s="25" t="s">
        <v>0</v>
      </c>
      <c r="C126" s="26" t="s">
        <v>49</v>
      </c>
      <c r="D126" s="27"/>
      <c r="E126" s="28"/>
      <c r="F126" s="29"/>
      <c r="G126" s="49" t="s">
        <v>58</v>
      </c>
      <c r="H126" s="50"/>
      <c r="I126" s="29"/>
      <c r="J126" s="29"/>
      <c r="K126" s="29"/>
      <c r="L126" s="29"/>
      <c r="M126" s="29"/>
      <c r="N126" s="30"/>
    </row>
    <row r="127" spans="2:14" ht="13.5" thickBot="1">
      <c r="B127" s="31"/>
      <c r="C127" s="11" t="s">
        <v>57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32"/>
    </row>
    <row r="128" spans="2:14" ht="13.5" thickBot="1">
      <c r="B128" s="33" t="s">
        <v>2</v>
      </c>
      <c r="C128" s="34"/>
      <c r="D128" s="35" t="s">
        <v>1</v>
      </c>
      <c r="E128" s="34" t="s">
        <v>46</v>
      </c>
      <c r="F128" s="34" t="s">
        <v>59</v>
      </c>
      <c r="G128" s="51"/>
      <c r="H128" s="40" t="s">
        <v>60</v>
      </c>
      <c r="I128" s="52"/>
      <c r="J128" s="34"/>
      <c r="K128" s="34"/>
      <c r="L128" s="34" t="s">
        <v>11</v>
      </c>
      <c r="M128" s="36" t="s">
        <v>10</v>
      </c>
      <c r="N128" s="32"/>
    </row>
    <row r="129" spans="2:14" ht="13.5" thickBot="1">
      <c r="B129" s="37"/>
      <c r="C129" s="38"/>
      <c r="D129" s="39"/>
      <c r="E129" s="38"/>
      <c r="F129" s="38"/>
      <c r="G129" s="38"/>
      <c r="H129" s="39"/>
      <c r="I129" s="38"/>
      <c r="J129" s="38"/>
      <c r="K129" s="38"/>
      <c r="L129" s="38"/>
      <c r="M129" s="38"/>
      <c r="N129" s="32"/>
    </row>
    <row r="130" spans="2:14" ht="13.5" thickBot="1">
      <c r="B130" s="40">
        <v>48000</v>
      </c>
      <c r="C130" s="41"/>
      <c r="D130" s="40">
        <v>6000</v>
      </c>
      <c r="E130" s="41">
        <f>TAN(2*PI()*D130/(2*B130))</f>
        <v>0.41421356237309503</v>
      </c>
      <c r="F130" s="41">
        <f>E130*E130</f>
        <v>0.1715728752538099</v>
      </c>
      <c r="G130" s="38"/>
      <c r="H130" s="40">
        <v>1</v>
      </c>
      <c r="I130" s="38"/>
      <c r="J130" s="38"/>
      <c r="K130" s="38"/>
      <c r="L130" s="38">
        <f>1/B130</f>
        <v>2.0833333333333333E-05</v>
      </c>
      <c r="M130" s="38">
        <f>2/L130</f>
        <v>96000</v>
      </c>
      <c r="N130" s="32"/>
    </row>
    <row r="131" spans="2:14" ht="12.75">
      <c r="B131" s="3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32"/>
    </row>
    <row r="132" spans="2:14" ht="12.75">
      <c r="B132" s="3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32"/>
    </row>
    <row r="133" spans="2:14" ht="13.5" thickBot="1">
      <c r="B133" s="31"/>
      <c r="C133" s="11"/>
      <c r="D133" s="11"/>
      <c r="E133" s="11"/>
      <c r="F133" s="11"/>
      <c r="G133" s="11"/>
      <c r="H133" s="11"/>
      <c r="I133" s="2" t="s">
        <v>18</v>
      </c>
      <c r="J133" s="11"/>
      <c r="K133" s="11"/>
      <c r="L133" s="42"/>
      <c r="M133" s="11"/>
      <c r="N133" s="32"/>
    </row>
    <row r="134" spans="2:14" ht="13.5" thickBot="1">
      <c r="B134" s="43" t="s">
        <v>12</v>
      </c>
      <c r="C134" s="34" t="s">
        <v>13</v>
      </c>
      <c r="D134" s="34" t="s">
        <v>14</v>
      </c>
      <c r="E134" s="34" t="s">
        <v>15</v>
      </c>
      <c r="F134" s="34" t="s">
        <v>16</v>
      </c>
      <c r="G134" s="36" t="s">
        <v>17</v>
      </c>
      <c r="H134" s="11"/>
      <c r="I134" s="43" t="s">
        <v>12</v>
      </c>
      <c r="J134" s="34" t="s">
        <v>13</v>
      </c>
      <c r="K134" s="34" t="s">
        <v>14</v>
      </c>
      <c r="L134" s="34" t="s">
        <v>15</v>
      </c>
      <c r="M134" s="34" t="s">
        <v>16</v>
      </c>
      <c r="N134" s="36" t="s">
        <v>17</v>
      </c>
    </row>
    <row r="135" spans="2:14" ht="13.5" thickBot="1">
      <c r="B135" s="44">
        <f>3*F130*H130</f>
        <v>0.5147186257614297</v>
      </c>
      <c r="C135" s="45">
        <f>6*F130*H130</f>
        <v>1.0294372515228594</v>
      </c>
      <c r="D135" s="45">
        <f>3*F130*H130</f>
        <v>0.5147186257614297</v>
      </c>
      <c r="E135" s="45">
        <f>3*F130+3*E130+1</f>
        <v>2.757359312880715</v>
      </c>
      <c r="F135" s="45">
        <f>6*F130-2</f>
        <v>-0.9705627484771406</v>
      </c>
      <c r="G135" s="45">
        <f>3*F130-3*E130+1</f>
        <v>0.27207793864214447</v>
      </c>
      <c r="H135" s="46"/>
      <c r="I135" s="47">
        <f>B135/E135</f>
        <v>0.18667085691624433</v>
      </c>
      <c r="J135" s="47">
        <f>C135/E135</f>
        <v>0.37334171383248865</v>
      </c>
      <c r="K135" s="47">
        <f>D135/E135</f>
        <v>0.18667085691624433</v>
      </c>
      <c r="L135" s="47">
        <f>E135/E135</f>
        <v>1</v>
      </c>
      <c r="M135" s="47">
        <f>F135/E135</f>
        <v>-0.35198994340101364</v>
      </c>
      <c r="N135" s="48">
        <f>G135/E135</f>
        <v>0.0986733710659909</v>
      </c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3.5" thickBo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3.5" thickBot="1">
      <c r="B139" s="25" t="s">
        <v>0</v>
      </c>
      <c r="C139" s="26" t="s">
        <v>51</v>
      </c>
      <c r="D139" s="27"/>
      <c r="E139" s="28"/>
      <c r="F139" s="29"/>
      <c r="G139" s="49" t="s">
        <v>58</v>
      </c>
      <c r="H139" s="50"/>
      <c r="I139" s="29"/>
      <c r="J139" s="29"/>
      <c r="K139" s="29"/>
      <c r="L139" s="29"/>
      <c r="M139" s="29"/>
      <c r="N139" s="30"/>
    </row>
    <row r="140" spans="2:14" ht="13.5" thickBot="1">
      <c r="B140" s="31"/>
      <c r="C140" s="11" t="s">
        <v>61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32"/>
    </row>
    <row r="141" spans="2:14" ht="13.5" thickBot="1">
      <c r="B141" s="33" t="s">
        <v>2</v>
      </c>
      <c r="C141" s="34"/>
      <c r="D141" s="35" t="s">
        <v>1</v>
      </c>
      <c r="E141" s="34" t="s">
        <v>46</v>
      </c>
      <c r="F141" s="34" t="s">
        <v>59</v>
      </c>
      <c r="G141" s="51"/>
      <c r="H141" s="40" t="s">
        <v>60</v>
      </c>
      <c r="I141" s="52"/>
      <c r="J141" s="34"/>
      <c r="K141" s="34"/>
      <c r="L141" s="34" t="s">
        <v>11</v>
      </c>
      <c r="M141" s="36" t="s">
        <v>10</v>
      </c>
      <c r="N141" s="32"/>
    </row>
    <row r="142" spans="2:14" ht="13.5" thickBot="1">
      <c r="B142" s="37"/>
      <c r="C142" s="38"/>
      <c r="D142" s="39"/>
      <c r="E142" s="38"/>
      <c r="F142" s="38"/>
      <c r="G142" s="38"/>
      <c r="H142" s="39"/>
      <c r="I142" s="38"/>
      <c r="J142" s="38"/>
      <c r="K142" s="38"/>
      <c r="L142" s="38"/>
      <c r="M142" s="38"/>
      <c r="N142" s="32"/>
    </row>
    <row r="143" spans="2:14" ht="13.5" thickBot="1">
      <c r="B143" s="40">
        <v>48000</v>
      </c>
      <c r="C143" s="41"/>
      <c r="D143" s="40">
        <v>6000</v>
      </c>
      <c r="E143" s="41">
        <f>TAN(2*PI()*D143/(2*B143))</f>
        <v>0.41421356237309503</v>
      </c>
      <c r="F143" s="41">
        <f>E143*E143</f>
        <v>0.1715728752538099</v>
      </c>
      <c r="G143" s="38"/>
      <c r="H143" s="40">
        <v>1</v>
      </c>
      <c r="I143" s="38"/>
      <c r="J143" s="38"/>
      <c r="K143" s="38"/>
      <c r="L143" s="38">
        <f>1/B143</f>
        <v>2.0833333333333333E-05</v>
      </c>
      <c r="M143" s="38">
        <f>2/L143</f>
        <v>96000</v>
      </c>
      <c r="N143" s="32"/>
    </row>
    <row r="144" spans="2:14" ht="12.75">
      <c r="B144" s="3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32"/>
    </row>
    <row r="145" spans="2:14" ht="12.75">
      <c r="B145" s="3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32"/>
    </row>
    <row r="146" spans="2:14" ht="13.5" thickBot="1">
      <c r="B146" s="31"/>
      <c r="C146" s="11"/>
      <c r="D146" s="11"/>
      <c r="E146" s="11"/>
      <c r="F146" s="11"/>
      <c r="G146" s="11"/>
      <c r="H146" s="11"/>
      <c r="I146" s="2" t="s">
        <v>18</v>
      </c>
      <c r="J146" s="11"/>
      <c r="K146" s="11"/>
      <c r="L146" s="42"/>
      <c r="M146" s="11"/>
      <c r="N146" s="32"/>
    </row>
    <row r="147" spans="2:14" ht="13.5" thickBot="1">
      <c r="B147" s="43" t="s">
        <v>12</v>
      </c>
      <c r="C147" s="34" t="s">
        <v>13</v>
      </c>
      <c r="D147" s="34" t="s">
        <v>14</v>
      </c>
      <c r="E147" s="34" t="s">
        <v>15</v>
      </c>
      <c r="F147" s="34" t="s">
        <v>16</v>
      </c>
      <c r="G147" s="36" t="s">
        <v>17</v>
      </c>
      <c r="H147" s="11"/>
      <c r="I147" s="43" t="s">
        <v>12</v>
      </c>
      <c r="J147" s="34" t="s">
        <v>13</v>
      </c>
      <c r="K147" s="34" t="s">
        <v>14</v>
      </c>
      <c r="L147" s="34" t="s">
        <v>15</v>
      </c>
      <c r="M147" s="34" t="s">
        <v>16</v>
      </c>
      <c r="N147" s="36" t="s">
        <v>17</v>
      </c>
    </row>
    <row r="148" spans="2:14" ht="13.5" thickBot="1">
      <c r="B148" s="44">
        <f>3*H143</f>
        <v>3</v>
      </c>
      <c r="C148" s="45">
        <f>-6*H143</f>
        <v>-6</v>
      </c>
      <c r="D148" s="45">
        <f>3*H143</f>
        <v>3</v>
      </c>
      <c r="E148" s="45">
        <f>F143+E143+3</f>
        <v>3.585786437626905</v>
      </c>
      <c r="F148" s="45">
        <f>2*F143-6</f>
        <v>-5.656854249492381</v>
      </c>
      <c r="G148" s="45">
        <f>F143-E143+3</f>
        <v>2.757359312880715</v>
      </c>
      <c r="H148" s="46"/>
      <c r="I148" s="47">
        <f>B148/E148</f>
        <v>0.836636551613882</v>
      </c>
      <c r="J148" s="47">
        <f>C148/E148</f>
        <v>-1.673273103227764</v>
      </c>
      <c r="K148" s="47">
        <f>D148/E148</f>
        <v>0.836636551613882</v>
      </c>
      <c r="L148" s="47">
        <f>E148/E148</f>
        <v>1</v>
      </c>
      <c r="M148" s="47">
        <f>F148/E148</f>
        <v>-1.577577010759213</v>
      </c>
      <c r="N148" s="48">
        <f>G148/E148</f>
        <v>0.7689691956963147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Digi-Key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Tony_Storey</dc:creator>
  <cp:keywords/>
  <dc:description/>
  <cp:lastModifiedBy>Tony_Storey</cp:lastModifiedBy>
  <dcterms:created xsi:type="dcterms:W3CDTF">2012-07-26T17:27:03Z</dcterms:created>
  <dcterms:modified xsi:type="dcterms:W3CDTF">2012-07-26T17:48:10Z</dcterms:modified>
  <cp:category/>
  <cp:version/>
  <cp:contentType/>
  <cp:contentStatus/>
</cp:coreProperties>
</file>